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speedow/Downloads/"/>
    </mc:Choice>
  </mc:AlternateContent>
  <xr:revisionPtr revIDLastSave="0" documentId="13_ncr:1_{EEBF50C6-F069-6245-A2E4-06D7D306179E}" xr6:coauthVersionLast="47" xr6:coauthVersionMax="47" xr10:uidLastSave="{00000000-0000-0000-0000-000000000000}"/>
  <bookViews>
    <workbookView xWindow="900" yWindow="3280" windowWidth="28800" windowHeight="15340" xr2:uid="{C36C8120-74A9-400B-98B8-FCF9985715BC}"/>
  </bookViews>
  <sheets>
    <sheet name="Lis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0" i="1" l="1"/>
  <c r="C396" i="1"/>
  <c r="F16" i="1"/>
  <c r="H15" i="1"/>
  <c r="E188" i="1"/>
  <c r="G133" i="1"/>
  <c r="G538" i="1"/>
  <c r="D251" i="1"/>
  <c r="E185" i="1"/>
  <c r="H459" i="1" l="1"/>
  <c r="D574" i="1"/>
  <c r="K569" i="1"/>
  <c r="K568" i="1"/>
  <c r="K566" i="1"/>
  <c r="C572" i="1"/>
  <c r="E554" i="1"/>
  <c r="E550" i="1"/>
  <c r="E547" i="1"/>
  <c r="E544" i="1"/>
  <c r="E541" i="1"/>
  <c r="D548" i="1"/>
  <c r="D551" i="1"/>
  <c r="D545" i="1"/>
  <c r="D542" i="1"/>
  <c r="E538" i="1"/>
  <c r="D539" i="1"/>
  <c r="F526" i="1"/>
  <c r="C526" i="1"/>
  <c r="G507" i="1"/>
  <c r="C507" i="1"/>
  <c r="D481" i="1"/>
  <c r="D480" i="1"/>
  <c r="E459" i="1"/>
  <c r="D457" i="1"/>
  <c r="C455" i="1"/>
  <c r="D430" i="1"/>
  <c r="E427" i="1"/>
  <c r="D428" i="1"/>
  <c r="E424" i="1"/>
  <c r="D425" i="1"/>
  <c r="E421" i="1"/>
  <c r="D422" i="1"/>
  <c r="E418" i="1"/>
  <c r="D419" i="1"/>
  <c r="C401" i="1"/>
  <c r="C400" i="1"/>
  <c r="C399" i="1"/>
  <c r="C397" i="1"/>
  <c r="D379" i="1"/>
  <c r="E376" i="1"/>
  <c r="D377" i="1"/>
  <c r="E373" i="1"/>
  <c r="D374" i="1"/>
  <c r="E370" i="1"/>
  <c r="D371" i="1"/>
  <c r="E367" i="1"/>
  <c r="D368" i="1"/>
  <c r="D323" i="1"/>
  <c r="E320" i="1"/>
  <c r="D321" i="1"/>
  <c r="E317" i="1"/>
  <c r="D318" i="1"/>
  <c r="E314" i="1"/>
  <c r="D315" i="1"/>
  <c r="E311" i="1"/>
  <c r="D312" i="1"/>
  <c r="E308" i="1"/>
  <c r="D309" i="1"/>
  <c r="D284" i="1"/>
  <c r="D281" i="1"/>
  <c r="D278" i="1"/>
  <c r="D257" i="1"/>
  <c r="C255" i="1"/>
  <c r="E251" i="1"/>
  <c r="D252" i="1"/>
  <c r="C249" i="1"/>
  <c r="E212" i="1"/>
  <c r="E209" i="1"/>
  <c r="E207" i="1"/>
  <c r="E205" i="1"/>
  <c r="E187" i="1"/>
  <c r="E186" i="1"/>
  <c r="E135" i="1"/>
  <c r="E134" i="1"/>
  <c r="E133" i="1"/>
  <c r="E132" i="1"/>
  <c r="G121" i="1"/>
  <c r="D121" i="1"/>
  <c r="D101" i="1"/>
  <c r="D99" i="1"/>
  <c r="D91" i="1"/>
  <c r="E69" i="1"/>
  <c r="E68" i="1"/>
  <c r="F51" i="1"/>
  <c r="H30" i="1"/>
  <c r="F28" i="1"/>
  <c r="H28" i="1"/>
  <c r="F27" i="1"/>
  <c r="H27" i="1"/>
  <c r="G10" i="1"/>
  <c r="F12" i="1"/>
  <c r="F10" i="1"/>
  <c r="G8" i="1"/>
  <c r="H16" i="1" l="1"/>
  <c r="F17" i="1" s="1"/>
</calcChain>
</file>

<file path=xl/sharedStrings.xml><?xml version="1.0" encoding="utf-8"?>
<sst xmlns="http://schemas.openxmlformats.org/spreadsheetml/2006/main" count="124" uniqueCount="100">
  <si>
    <t>2 skupina</t>
  </si>
  <si>
    <t>koef</t>
  </si>
  <si>
    <t>zust cena</t>
  </si>
  <si>
    <t>1.rok</t>
  </si>
  <si>
    <t>2.rok</t>
  </si>
  <si>
    <t>odpos</t>
  </si>
  <si>
    <t>odposy</t>
  </si>
  <si>
    <t>zust ceny</t>
  </si>
  <si>
    <t>1. skupina</t>
  </si>
  <si>
    <t>vstupni</t>
  </si>
  <si>
    <t>odpis</t>
  </si>
  <si>
    <t>suma oprávek</t>
  </si>
  <si>
    <t>zisk a ztráta</t>
  </si>
  <si>
    <t>ANO</t>
  </si>
  <si>
    <t>PH</t>
  </si>
  <si>
    <t>fošny</t>
  </si>
  <si>
    <t>m3</t>
  </si>
  <si>
    <t>celkove naklady po odecteni trzeb</t>
  </si>
  <si>
    <t>1m3 fošen</t>
  </si>
  <si>
    <t>A</t>
  </si>
  <si>
    <t>B</t>
  </si>
  <si>
    <t>C</t>
  </si>
  <si>
    <t>s vahou 1</t>
  </si>
  <si>
    <t>s vahou 2</t>
  </si>
  <si>
    <t>PÚ</t>
  </si>
  <si>
    <t>BZ</t>
  </si>
  <si>
    <t>fix naklady/PÚ</t>
  </si>
  <si>
    <t>trzni cena/ variabil naklad</t>
  </si>
  <si>
    <t>trzby</t>
  </si>
  <si>
    <t>zisk</t>
  </si>
  <si>
    <t>TRAMO</t>
  </si>
  <si>
    <t>GIS</t>
  </si>
  <si>
    <t>Provozni paka</t>
  </si>
  <si>
    <t>((Z1-Z0)/Z0)/((T1-T0)/T0)</t>
  </si>
  <si>
    <t>provo paka</t>
  </si>
  <si>
    <t>%</t>
  </si>
  <si>
    <t>hruba mzda</t>
  </si>
  <si>
    <t>sleva</t>
  </si>
  <si>
    <t>superhruba mzda</t>
  </si>
  <si>
    <t>odevzdame 15%</t>
  </si>
  <si>
    <t>soc a zdrav</t>
  </si>
  <si>
    <t>čista mzda</t>
  </si>
  <si>
    <t>SUPERHRUBA JE JEN NA VYPOCET 0,15%</t>
  </si>
  <si>
    <t>RN=čistý zisk/náklady</t>
  </si>
  <si>
    <t>L3 = (krátkodobý fin majetek + zásoby + krátkodobé pohledávky + pěněžní prostředky)/kratkodobe zavazky</t>
  </si>
  <si>
    <t>DOZ = zasoby / trzby z prodeje *365</t>
  </si>
  <si>
    <t>RN</t>
  </si>
  <si>
    <t>PH = cisty zisk</t>
  </si>
  <si>
    <t>L3</t>
  </si>
  <si>
    <t>koef samo</t>
  </si>
  <si>
    <t>koef samo = vlastni kap / celkova aktiva ((vlastní kapital + cizi kapital)*100)</t>
  </si>
  <si>
    <t>ROE</t>
  </si>
  <si>
    <t>aktiva celkem -&gt; musime odecist nakladove rukoy, cizi zdroje a aktiva celkem</t>
  </si>
  <si>
    <t>ROE (po zdaneni)/(akt celk - cizi zdr - nakl uroky)*100</t>
  </si>
  <si>
    <t>rychl obr zas</t>
  </si>
  <si>
    <t>360 / doba obratu</t>
  </si>
  <si>
    <t>ROA</t>
  </si>
  <si>
    <t>zisk před zd + nakl uroky / aktiva celkem *100</t>
  </si>
  <si>
    <t>obrat pohledávek = tržby / krátkodobé pohledávky</t>
  </si>
  <si>
    <t xml:space="preserve">ROA </t>
  </si>
  <si>
    <t>ROA = po zdaneni / celkovy kap</t>
  </si>
  <si>
    <t>NAUCIT VZORCE</t>
  </si>
  <si>
    <t>L1 = penezni prostredky / kratkodobe zavazky</t>
  </si>
  <si>
    <t>L1 = (kratkodoby fin. Maj. + penezni prostředky) / kratkodobe zavazky</t>
  </si>
  <si>
    <t>L2 = (kratko. Fin. Maj + pen prostř. + kratko pohled) / kratkodob zavazky</t>
  </si>
  <si>
    <t>L3 = (kratko. Fin. Maj + pen prostř. + kratko pohled + zasoby) / kratkodob zavazky</t>
  </si>
  <si>
    <t>disk saz</t>
  </si>
  <si>
    <t>invest</t>
  </si>
  <si>
    <t>1. rok</t>
  </si>
  <si>
    <t>2. rok</t>
  </si>
  <si>
    <t>3.rok</t>
  </si>
  <si>
    <t>4. rok</t>
  </si>
  <si>
    <t>5. rok</t>
  </si>
  <si>
    <t>ČSH</t>
  </si>
  <si>
    <t>secist roky - investice</t>
  </si>
  <si>
    <t>3. rok</t>
  </si>
  <si>
    <t>čsh</t>
  </si>
  <si>
    <t>projekt je nepřijatelný</t>
  </si>
  <si>
    <t>vyrobni rezie</t>
  </si>
  <si>
    <t>spravni rezie</t>
  </si>
  <si>
    <t>1ks kosile</t>
  </si>
  <si>
    <t>primy mat + prime mzdy + 1 ks kosile oboje</t>
  </si>
  <si>
    <t>4.rok</t>
  </si>
  <si>
    <t>doba obratu pohledavek = (pohledávky *360)/ trzby</t>
  </si>
  <si>
    <t>rentabilita trzeb</t>
  </si>
  <si>
    <t>(trzby-naklady)/trzby</t>
  </si>
  <si>
    <t>zasoby</t>
  </si>
  <si>
    <t>NAUCIT VZORECEK</t>
  </si>
  <si>
    <t>1 kus?</t>
  </si>
  <si>
    <t>1 kus A40</t>
  </si>
  <si>
    <t>AKTIVA</t>
  </si>
  <si>
    <t>PASIVA</t>
  </si>
  <si>
    <t>1rok</t>
  </si>
  <si>
    <t>RI(vynosnost inv)</t>
  </si>
  <si>
    <t>NACUIT ROVNOMERNE ODEPIS</t>
  </si>
  <si>
    <t>kumulativni zisk</t>
  </si>
  <si>
    <t>chybi do 1000</t>
  </si>
  <si>
    <t>let</t>
  </si>
  <si>
    <t xml:space="preserve">hruba mzda * 15% </t>
  </si>
  <si>
    <t>vstupni cena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</si>
</sst>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Kč&quot;"/>
    <numFmt numFmtId="165" formatCode="#,##0.000\ &quot;Kč&quot;"/>
    <numFmt numFmtId="166" formatCode="#,##0.000000\ &quot;Kč&quot;"/>
  </numFmts>
  <fonts count="7" x14ac:knownFonts="1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sz val="11"/>
      <color rgb="FFFF0000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1"/>
      <color rgb="FF000000"/>
      <name val="Aptos Narrow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6">
    <xf numFmtId="0" fontId="0" fillId="0" borderId="0" xfId="0"/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0" fillId="2" borderId="0" xfId="0" applyNumberFormat="1" applyFill="1" applyAlignment="1">
      <alignment horizontal="center"/>
    </xf>
    <xf numFmtId="164" fontId="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1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164" fontId="2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165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9" fontId="0" fillId="0" borderId="0" xfId="0" applyNumberFormat="1" applyAlignment="1">
      <alignment horizontal="center"/>
    </xf>
    <xf numFmtId="164" fontId="6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</cellXfs>
  <cellStyles count="2">
    <cellStyle name="Normální" xfId="0" builtinId="0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833513</xdr:colOff>
      <xdr:row>4</xdr:row>
      <xdr:rowOff>123922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7669C82-6099-69A0-9056-5D1BEB9FC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744906" cy="6954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7</xdr:col>
      <xdr:colOff>909723</xdr:colOff>
      <xdr:row>22</xdr:row>
      <xdr:rowOff>47738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4A00D7A-C6BC-ABA8-A922-45E9A703C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3429000"/>
          <a:ext cx="7821116" cy="8097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8</xdr:col>
      <xdr:colOff>328267</xdr:colOff>
      <xdr:row>42</xdr:row>
      <xdr:rowOff>28818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5BAECEA-40D3-002A-FDA9-8CAB40985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6286500"/>
          <a:ext cx="8478433" cy="17433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7</xdr:col>
      <xdr:colOff>795408</xdr:colOff>
      <xdr:row>59</xdr:row>
      <xdr:rowOff>19239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776BAC1-518F-A95B-EC75-5356F6148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9906000"/>
          <a:ext cx="7706801" cy="135273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</xdr:row>
      <xdr:rowOff>0</xdr:rowOff>
    </xdr:from>
    <xdr:to>
      <xdr:col>25</xdr:col>
      <xdr:colOff>553633</xdr:colOff>
      <xdr:row>68</xdr:row>
      <xdr:rowOff>124268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632CC18-D62E-44CF-B2C1-1E478F512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48700" y="9906000"/>
          <a:ext cx="8478433" cy="31722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7</xdr:col>
      <xdr:colOff>1004987</xdr:colOff>
      <xdr:row>81</xdr:row>
      <xdr:rowOff>38318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88EBD0C-83C4-4013-2DCA-93A4FB35A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13906500"/>
          <a:ext cx="7916380" cy="15623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7</xdr:col>
      <xdr:colOff>785881</xdr:colOff>
      <xdr:row>95</xdr:row>
      <xdr:rowOff>181080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88B35F5-28DA-78FE-92DD-499EE0D9E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" y="17526000"/>
          <a:ext cx="7697274" cy="7525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7</xdr:col>
      <xdr:colOff>871618</xdr:colOff>
      <xdr:row>114</xdr:row>
      <xdr:rowOff>19372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60E548F6-AC7D-29A0-FC02-EEFC946E2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19431000"/>
          <a:ext cx="7783011" cy="23053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7</xdr:col>
      <xdr:colOff>1157408</xdr:colOff>
      <xdr:row>127</xdr:row>
      <xdr:rowOff>133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C243E04-21EE-1082-DB1B-B6332878C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600" y="23241000"/>
          <a:ext cx="8068801" cy="9526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107324</xdr:rowOff>
    </xdr:from>
    <xdr:to>
      <xdr:col>7</xdr:col>
      <xdr:colOff>1185987</xdr:colOff>
      <xdr:row>174</xdr:row>
      <xdr:rowOff>25174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407A486-6CCD-3027-3788-02C551E8B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7606" y="26401690"/>
          <a:ext cx="9181620" cy="630362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141</xdr:row>
      <xdr:rowOff>0</xdr:rowOff>
    </xdr:from>
    <xdr:to>
      <xdr:col>21</xdr:col>
      <xdr:colOff>581957</xdr:colOff>
      <xdr:row>180</xdr:row>
      <xdr:rowOff>153458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81A2C46C-2630-401B-8C70-3A7671413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153525" y="26860500"/>
          <a:ext cx="6677957" cy="75829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7</xdr:col>
      <xdr:colOff>143872</xdr:colOff>
      <xdr:row>200</xdr:row>
      <xdr:rowOff>76477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5DF24842-6B97-3057-08B7-42D765342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9600" y="36195000"/>
          <a:ext cx="7144747" cy="198147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190</xdr:row>
      <xdr:rowOff>0</xdr:rowOff>
    </xdr:from>
    <xdr:to>
      <xdr:col>24</xdr:col>
      <xdr:colOff>144001</xdr:colOff>
      <xdr:row>222</xdr:row>
      <xdr:rowOff>162798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7427F249-BEC5-4453-811F-4B13ED7E1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153525" y="36195000"/>
          <a:ext cx="8068801" cy="62587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7</xdr:col>
      <xdr:colOff>1233619</xdr:colOff>
      <xdr:row>244</xdr:row>
      <xdr:rowOff>133821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ED1AAA14-77C2-BA9A-5E57-7445A2A54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9600" y="43243500"/>
          <a:ext cx="8145012" cy="33723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7</xdr:col>
      <xdr:colOff>1100250</xdr:colOff>
      <xdr:row>274</xdr:row>
      <xdr:rowOff>67110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AEB21AA5-1503-6D90-09B2-BADB616F1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9600" y="49149000"/>
          <a:ext cx="8011643" cy="31151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7</xdr:col>
      <xdr:colOff>1004987</xdr:colOff>
      <xdr:row>300</xdr:row>
      <xdr:rowOff>19451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6DA0C770-6524-90EC-B9EC-E3DD31DF3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09600" y="54292500"/>
          <a:ext cx="7916380" cy="28769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285</xdr:row>
      <xdr:rowOff>0</xdr:rowOff>
    </xdr:from>
    <xdr:to>
      <xdr:col>21</xdr:col>
      <xdr:colOff>172325</xdr:colOff>
      <xdr:row>312</xdr:row>
      <xdr:rowOff>115034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666BFDAB-A92A-4552-B57D-12AA17353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153525" y="54292500"/>
          <a:ext cx="6268325" cy="52585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326</xdr:row>
      <xdr:rowOff>0</xdr:rowOff>
    </xdr:from>
    <xdr:to>
      <xdr:col>7</xdr:col>
      <xdr:colOff>1290777</xdr:colOff>
      <xdr:row>332</xdr:row>
      <xdr:rowOff>85896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F6624A7A-200B-578D-EE82-C6FE15829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9600" y="62103000"/>
          <a:ext cx="8202170" cy="1228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337</xdr:row>
      <xdr:rowOff>0</xdr:rowOff>
    </xdr:from>
    <xdr:to>
      <xdr:col>4</xdr:col>
      <xdr:colOff>962438</xdr:colOff>
      <xdr:row>340</xdr:row>
      <xdr:rowOff>123922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956CAFB0-010C-0E56-DAC8-394CFF036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52575" y="64198500"/>
          <a:ext cx="2962688" cy="69542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341</xdr:row>
      <xdr:rowOff>0</xdr:rowOff>
    </xdr:from>
    <xdr:to>
      <xdr:col>4</xdr:col>
      <xdr:colOff>695701</xdr:colOff>
      <xdr:row>347</xdr:row>
      <xdr:rowOff>28739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E4F8A98A-ABD7-E910-8FD3-9B89AFC34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52575" y="64960500"/>
          <a:ext cx="2695951" cy="11717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350</xdr:row>
      <xdr:rowOff>0</xdr:rowOff>
    </xdr:from>
    <xdr:to>
      <xdr:col>7</xdr:col>
      <xdr:colOff>1185987</xdr:colOff>
      <xdr:row>361</xdr:row>
      <xdr:rowOff>38398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D3C7467-1019-8842-9BC3-72EEA9C5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09600" y="66675000"/>
          <a:ext cx="8097380" cy="21338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381</xdr:row>
      <xdr:rowOff>0</xdr:rowOff>
    </xdr:from>
    <xdr:to>
      <xdr:col>8</xdr:col>
      <xdr:colOff>194899</xdr:colOff>
      <xdr:row>393</xdr:row>
      <xdr:rowOff>95582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576F9412-F97F-DB03-8929-7AF5B4AFA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09600" y="72580500"/>
          <a:ext cx="8345065" cy="23815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403</xdr:row>
      <xdr:rowOff>0</xdr:rowOff>
    </xdr:from>
    <xdr:to>
      <xdr:col>7</xdr:col>
      <xdr:colOff>1062145</xdr:colOff>
      <xdr:row>413</xdr:row>
      <xdr:rowOff>38371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7396E53A-5652-1F3C-A71D-E260AAF92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09600" y="76771500"/>
          <a:ext cx="7973538" cy="19433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431</xdr:row>
      <xdr:rowOff>0</xdr:rowOff>
    </xdr:from>
    <xdr:to>
      <xdr:col>7</xdr:col>
      <xdr:colOff>957355</xdr:colOff>
      <xdr:row>451</xdr:row>
      <xdr:rowOff>532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85EA9C7A-B244-22BF-C226-93BB8147B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09600" y="82105500"/>
          <a:ext cx="7868748" cy="381053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451</xdr:row>
      <xdr:rowOff>0</xdr:rowOff>
    </xdr:from>
    <xdr:to>
      <xdr:col>23</xdr:col>
      <xdr:colOff>57151</xdr:colOff>
      <xdr:row>461</xdr:row>
      <xdr:rowOff>171450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D98236D4-385D-5D2E-1AB9-376799749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85915500"/>
          <a:ext cx="8077200" cy="207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463</xdr:row>
      <xdr:rowOff>0</xdr:rowOff>
    </xdr:from>
    <xdr:to>
      <xdr:col>7</xdr:col>
      <xdr:colOff>1233619</xdr:colOff>
      <xdr:row>473</xdr:row>
      <xdr:rowOff>114582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EE56E7E5-7665-F868-03B3-1769C5AE7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09600" y="88201500"/>
          <a:ext cx="8145012" cy="20195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483</xdr:row>
      <xdr:rowOff>0</xdr:rowOff>
    </xdr:from>
    <xdr:to>
      <xdr:col>7</xdr:col>
      <xdr:colOff>1214566</xdr:colOff>
      <xdr:row>501</xdr:row>
      <xdr:rowOff>57637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94EB68BB-434E-684C-6DB9-84FAAC193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09600" y="92011500"/>
          <a:ext cx="8125959" cy="348663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509</xdr:row>
      <xdr:rowOff>0</xdr:rowOff>
    </xdr:from>
    <xdr:to>
      <xdr:col>7</xdr:col>
      <xdr:colOff>1138355</xdr:colOff>
      <xdr:row>524</xdr:row>
      <xdr:rowOff>28978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83BBED65-C80F-3FB8-3346-E372A716B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09600" y="96964500"/>
          <a:ext cx="8049748" cy="28864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529</xdr:row>
      <xdr:rowOff>0</xdr:rowOff>
    </xdr:from>
    <xdr:to>
      <xdr:col>7</xdr:col>
      <xdr:colOff>785881</xdr:colOff>
      <xdr:row>532</xdr:row>
      <xdr:rowOff>123922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5E1657D4-D94B-857C-CCAA-A3844DA47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09600" y="100774500"/>
          <a:ext cx="7697274" cy="6954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556</xdr:row>
      <xdr:rowOff>0</xdr:rowOff>
    </xdr:from>
    <xdr:to>
      <xdr:col>7</xdr:col>
      <xdr:colOff>1033566</xdr:colOff>
      <xdr:row>569</xdr:row>
      <xdr:rowOff>143241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1C477BE0-8646-3665-6321-1D62980B0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09600" y="105918000"/>
          <a:ext cx="7944959" cy="2619741"/>
        </a:xfrm>
        <a:prstGeom prst="rect">
          <a:avLst/>
        </a:prstGeom>
      </xdr:spPr>
    </xdr:pic>
    <xdr:clientData/>
  </xdr:twoCellAnchor>
  <xdr:twoCellAnchor editAs="oneCell">
    <xdr:from>
      <xdr:col>5</xdr:col>
      <xdr:colOff>647700</xdr:colOff>
      <xdr:row>572</xdr:row>
      <xdr:rowOff>152400</xdr:rowOff>
    </xdr:from>
    <xdr:to>
      <xdr:col>10</xdr:col>
      <xdr:colOff>352130</xdr:colOff>
      <xdr:row>576</xdr:row>
      <xdr:rowOff>123927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330B6C6D-425F-51F9-6619-C8EC1863C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343525" y="109118400"/>
          <a:ext cx="5820587" cy="733527"/>
        </a:xfrm>
        <a:prstGeom prst="rect">
          <a:avLst/>
        </a:prstGeom>
      </xdr:spPr>
    </xdr:pic>
    <xdr:clientData/>
  </xdr:twoCellAnchor>
  <xdr:twoCellAnchor editAs="oneCell">
    <xdr:from>
      <xdr:col>0</xdr:col>
      <xdr:colOff>434187</xdr:colOff>
      <xdr:row>575</xdr:row>
      <xdr:rowOff>86837</xdr:rowOff>
    </xdr:from>
    <xdr:to>
      <xdr:col>5</xdr:col>
      <xdr:colOff>126565</xdr:colOff>
      <xdr:row>598</xdr:row>
      <xdr:rowOff>50691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E1FEABB-1C04-3E7F-3C6D-F1AB25469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34187" y="112432991"/>
          <a:ext cx="5054600" cy="4457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F89C2-393E-4E27-9379-FEA5B7D0F7DB}">
  <dimension ref="A7:K579"/>
  <sheetViews>
    <sheetView tabSelected="1" topLeftCell="A498" zoomScale="160" workbookViewId="0">
      <selection activeCell="D323" sqref="D323"/>
    </sheetView>
  </sheetViews>
  <sheetFormatPr baseColWidth="10" defaultColWidth="9.1640625" defaultRowHeight="15" x14ac:dyDescent="0.2"/>
  <cols>
    <col min="1" max="1" width="9.1640625" style="1"/>
    <col min="2" max="2" width="15.83203125" style="1" customWidth="1"/>
    <col min="3" max="3" width="14.1640625" style="1" bestFit="1" customWidth="1"/>
    <col min="4" max="4" width="15.83203125" style="1" bestFit="1" customWidth="1"/>
    <col min="5" max="5" width="15.5" style="1" customWidth="1"/>
    <col min="6" max="6" width="15.5" style="1" bestFit="1" customWidth="1"/>
    <col min="7" max="7" width="28" style="1" customWidth="1"/>
    <col min="8" max="8" width="17.5" style="1" customWidth="1"/>
    <col min="9" max="9" width="21.33203125" style="1" customWidth="1"/>
    <col min="10" max="10" width="9.1640625" style="1"/>
    <col min="11" max="11" width="10.5" style="1" bestFit="1" customWidth="1"/>
    <col min="12" max="16384" width="9.1640625" style="1"/>
  </cols>
  <sheetData>
    <row r="7" spans="2:8" x14ac:dyDescent="0.2">
      <c r="F7" s="1" t="s">
        <v>2</v>
      </c>
      <c r="G7" s="1" t="s">
        <v>5</v>
      </c>
      <c r="H7" s="1" t="s">
        <v>1</v>
      </c>
    </row>
    <row r="8" spans="2:8" x14ac:dyDescent="0.2">
      <c r="B8" s="1" t="s">
        <v>0</v>
      </c>
      <c r="C8" s="1">
        <v>6</v>
      </c>
      <c r="F8" s="1">
        <v>2000000</v>
      </c>
      <c r="G8" s="1">
        <f>F8/H8</f>
        <v>400000</v>
      </c>
      <c r="H8" s="1">
        <v>5</v>
      </c>
    </row>
    <row r="10" spans="2:8" x14ac:dyDescent="0.2">
      <c r="E10" s="1" t="s">
        <v>3</v>
      </c>
      <c r="F10" s="1">
        <f>F8-G8</f>
        <v>1600000</v>
      </c>
      <c r="G10" s="1">
        <f>(F10*2)/(H10-1)</f>
        <v>640000</v>
      </c>
      <c r="H10" s="1">
        <v>6</v>
      </c>
    </row>
    <row r="12" spans="2:8" x14ac:dyDescent="0.2">
      <c r="E12" s="1" t="s">
        <v>4</v>
      </c>
      <c r="F12" s="1">
        <f>F10-G10</f>
        <v>960000</v>
      </c>
    </row>
    <row r="14" spans="2:8" x14ac:dyDescent="0.2">
      <c r="E14" s="1" t="s">
        <v>99</v>
      </c>
      <c r="H14" s="1" t="s">
        <v>6</v>
      </c>
    </row>
    <row r="15" spans="2:8" x14ac:dyDescent="0.2">
      <c r="E15" s="14">
        <v>2000000</v>
      </c>
      <c r="F15" s="1" t="s">
        <v>7</v>
      </c>
      <c r="G15" s="1">
        <v>5</v>
      </c>
      <c r="H15" s="3">
        <f>E15/G15</f>
        <v>400000</v>
      </c>
    </row>
    <row r="16" spans="2:8" x14ac:dyDescent="0.2">
      <c r="F16" s="3">
        <f>E15-H15</f>
        <v>1600000</v>
      </c>
      <c r="G16" s="1">
        <v>6</v>
      </c>
      <c r="H16" s="3">
        <f>(F16*2)/(G16-1)</f>
        <v>640000</v>
      </c>
    </row>
    <row r="17" spans="2:8" x14ac:dyDescent="0.2">
      <c r="F17" s="3">
        <f>F16-H16</f>
        <v>960000</v>
      </c>
    </row>
    <row r="24" spans="2:8" x14ac:dyDescent="0.2">
      <c r="E24" s="1" t="s">
        <v>9</v>
      </c>
    </row>
    <row r="25" spans="2:8" x14ac:dyDescent="0.2">
      <c r="B25" s="1" t="s">
        <v>8</v>
      </c>
      <c r="C25" s="1">
        <v>3</v>
      </c>
      <c r="E25" s="1">
        <v>240000</v>
      </c>
    </row>
    <row r="26" spans="2:8" x14ac:dyDescent="0.2">
      <c r="F26" s="1" t="s">
        <v>2</v>
      </c>
      <c r="G26" s="1" t="s">
        <v>1</v>
      </c>
      <c r="H26" s="1" t="s">
        <v>10</v>
      </c>
    </row>
    <row r="27" spans="2:8" x14ac:dyDescent="0.2">
      <c r="F27" s="1">
        <f>E25-H27</f>
        <v>160000</v>
      </c>
      <c r="G27" s="1">
        <v>3</v>
      </c>
      <c r="H27" s="1">
        <f>E25/G27</f>
        <v>80000</v>
      </c>
    </row>
    <row r="28" spans="2:8" x14ac:dyDescent="0.2">
      <c r="F28" s="1">
        <f>F27-H28</f>
        <v>53333.333333333328</v>
      </c>
      <c r="G28" s="1">
        <v>4</v>
      </c>
      <c r="H28" s="1">
        <f>(F27*2)/(G28-1)</f>
        <v>106666.66666666667</v>
      </c>
    </row>
    <row r="30" spans="2:8" x14ac:dyDescent="0.2">
      <c r="G30" s="1" t="s">
        <v>11</v>
      </c>
      <c r="H30" s="1">
        <f>SUM(H27:H28)</f>
        <v>186666.66666666669</v>
      </c>
    </row>
    <row r="45" spans="2:9" x14ac:dyDescent="0.2">
      <c r="B45" s="1" t="s">
        <v>12</v>
      </c>
      <c r="F45" s="1">
        <v>210000</v>
      </c>
    </row>
    <row r="46" spans="2:9" x14ac:dyDescent="0.2">
      <c r="F46" s="1">
        <v>175000</v>
      </c>
    </row>
    <row r="47" spans="2:9" x14ac:dyDescent="0.2">
      <c r="F47" s="1">
        <v>330000</v>
      </c>
    </row>
    <row r="48" spans="2:9" x14ac:dyDescent="0.2">
      <c r="F48" s="1">
        <v>255000</v>
      </c>
      <c r="I48" s="4" t="s">
        <v>13</v>
      </c>
    </row>
    <row r="51" spans="3:6" x14ac:dyDescent="0.2">
      <c r="E51" s="1" t="s">
        <v>14</v>
      </c>
      <c r="F51" s="4">
        <f>(F45+F47)-(F46+F48)</f>
        <v>110000</v>
      </c>
    </row>
    <row r="61" spans="3:6" x14ac:dyDescent="0.2">
      <c r="C61" s="5">
        <v>240000</v>
      </c>
    </row>
    <row r="62" spans="3:6" x14ac:dyDescent="0.2">
      <c r="E62" s="1" t="s">
        <v>16</v>
      </c>
    </row>
    <row r="63" spans="3:6" x14ac:dyDescent="0.2">
      <c r="C63" s="1" t="s">
        <v>15</v>
      </c>
      <c r="D63" s="2">
        <v>5500</v>
      </c>
      <c r="E63" s="2">
        <v>70</v>
      </c>
    </row>
    <row r="64" spans="3:6" x14ac:dyDescent="0.2">
      <c r="D64" s="2">
        <v>500</v>
      </c>
      <c r="E64" s="2">
        <v>10</v>
      </c>
    </row>
    <row r="65" spans="3:5" x14ac:dyDescent="0.2">
      <c r="D65" s="2">
        <v>300</v>
      </c>
      <c r="E65" s="2">
        <v>0.5</v>
      </c>
    </row>
    <row r="68" spans="3:5" x14ac:dyDescent="0.2">
      <c r="C68" s="1" t="s">
        <v>17</v>
      </c>
      <c r="E68" s="1">
        <f>C61-(D64*E64)-(D65*E65)</f>
        <v>234850</v>
      </c>
    </row>
    <row r="69" spans="3:5" x14ac:dyDescent="0.2">
      <c r="D69" s="1" t="s">
        <v>18</v>
      </c>
      <c r="E69" s="4">
        <f>E68/E63</f>
        <v>3355</v>
      </c>
    </row>
    <row r="84" spans="2:5" x14ac:dyDescent="0.2">
      <c r="B84" s="1">
        <v>6500000</v>
      </c>
    </row>
    <row r="86" spans="2:5" x14ac:dyDescent="0.2">
      <c r="C86" s="1" t="s">
        <v>19</v>
      </c>
      <c r="D86" s="1">
        <v>4</v>
      </c>
      <c r="E86" s="1">
        <v>180000</v>
      </c>
    </row>
    <row r="87" spans="2:5" x14ac:dyDescent="0.2">
      <c r="C87" s="1" t="s">
        <v>20</v>
      </c>
      <c r="D87" s="1">
        <v>2</v>
      </c>
      <c r="E87" s="1">
        <v>320000</v>
      </c>
    </row>
    <row r="88" spans="2:5" x14ac:dyDescent="0.2">
      <c r="C88" s="1" t="s">
        <v>21</v>
      </c>
      <c r="D88" s="1">
        <v>1</v>
      </c>
      <c r="E88" s="1">
        <v>500000</v>
      </c>
    </row>
    <row r="90" spans="2:5" x14ac:dyDescent="0.2">
      <c r="C90" s="1" t="s">
        <v>22</v>
      </c>
      <c r="D90" s="1">
        <f>B84/((D86*E86)+(D87*E87)+(D88*E88))</f>
        <v>3.4946236559139785</v>
      </c>
    </row>
    <row r="91" spans="2:5" x14ac:dyDescent="0.2">
      <c r="C91" s="1" t="s">
        <v>23</v>
      </c>
      <c r="D91" s="4">
        <f>D90*2</f>
        <v>6.989247311827957</v>
      </c>
    </row>
    <row r="99" spans="3:5" x14ac:dyDescent="0.2">
      <c r="C99" s="1" t="s">
        <v>24</v>
      </c>
      <c r="D99" s="4">
        <f>410-350</f>
        <v>60</v>
      </c>
      <c r="E99" s="1" t="s">
        <v>27</v>
      </c>
    </row>
    <row r="101" spans="3:5" x14ac:dyDescent="0.2">
      <c r="C101" s="1" t="s">
        <v>25</v>
      </c>
      <c r="D101" s="4">
        <f>850000/60</f>
        <v>14166.666666666666</v>
      </c>
      <c r="E101" s="1" t="s">
        <v>26</v>
      </c>
    </row>
    <row r="116" spans="2:9" x14ac:dyDescent="0.2">
      <c r="B116" s="1" t="s">
        <v>30</v>
      </c>
      <c r="E116" s="1" t="s">
        <v>31</v>
      </c>
    </row>
    <row r="117" spans="2:9" x14ac:dyDescent="0.2">
      <c r="C117" s="1" t="s">
        <v>28</v>
      </c>
      <c r="D117" s="1" t="s">
        <v>29</v>
      </c>
      <c r="F117" s="1" t="s">
        <v>28</v>
      </c>
      <c r="G117" s="1" t="s">
        <v>29</v>
      </c>
      <c r="I117" s="4" t="s">
        <v>33</v>
      </c>
    </row>
    <row r="118" spans="2:9" x14ac:dyDescent="0.2">
      <c r="C118" s="2">
        <v>2200</v>
      </c>
      <c r="D118" s="2">
        <v>500</v>
      </c>
      <c r="E118" s="2"/>
      <c r="F118" s="2">
        <v>1800</v>
      </c>
      <c r="G118" s="2">
        <v>100</v>
      </c>
    </row>
    <row r="119" spans="2:9" x14ac:dyDescent="0.2">
      <c r="C119" s="2">
        <v>2600</v>
      </c>
      <c r="D119" s="2">
        <v>600</v>
      </c>
      <c r="E119" s="2"/>
      <c r="F119" s="2">
        <v>2100</v>
      </c>
      <c r="G119" s="2">
        <v>300</v>
      </c>
    </row>
    <row r="121" spans="2:9" x14ac:dyDescent="0.2">
      <c r="C121" s="1" t="s">
        <v>32</v>
      </c>
      <c r="D121" s="6">
        <f>((D119-D118)/D118)/((C119-C118)/C118)</f>
        <v>1.1000000000000001</v>
      </c>
      <c r="E121" s="4" t="s">
        <v>35</v>
      </c>
      <c r="F121" s="1" t="s">
        <v>34</v>
      </c>
      <c r="G121" s="6">
        <f>((G119-G118)/G118)/((F119-F118)/F118)</f>
        <v>12</v>
      </c>
      <c r="H121" s="4" t="s">
        <v>35</v>
      </c>
    </row>
    <row r="122" spans="2:9" x14ac:dyDescent="0.2">
      <c r="H122" s="7"/>
    </row>
    <row r="129" spans="3:7" x14ac:dyDescent="0.2">
      <c r="C129" s="1" t="s">
        <v>36</v>
      </c>
      <c r="D129" s="1">
        <v>32000</v>
      </c>
    </row>
    <row r="130" spans="3:7" x14ac:dyDescent="0.2">
      <c r="C130" s="1" t="s">
        <v>37</v>
      </c>
      <c r="D130" s="1">
        <v>2070</v>
      </c>
    </row>
    <row r="132" spans="3:7" x14ac:dyDescent="0.2">
      <c r="C132" s="1" t="s">
        <v>38</v>
      </c>
      <c r="E132" s="4">
        <f>D129*1.34</f>
        <v>42880</v>
      </c>
      <c r="G132" s="1" t="s">
        <v>98</v>
      </c>
    </row>
    <row r="133" spans="3:7" x14ac:dyDescent="0.2">
      <c r="C133" s="1" t="s">
        <v>39</v>
      </c>
      <c r="E133" s="4">
        <f>E132*0.15</f>
        <v>6432</v>
      </c>
      <c r="G133" s="1">
        <f>D129*0.15</f>
        <v>4800</v>
      </c>
    </row>
    <row r="134" spans="3:7" x14ac:dyDescent="0.2">
      <c r="C134" s="1" t="s">
        <v>40</v>
      </c>
      <c r="E134" s="4">
        <f>D129*0.11</f>
        <v>3520</v>
      </c>
    </row>
    <row r="135" spans="3:7" x14ac:dyDescent="0.2">
      <c r="C135" s="4" t="s">
        <v>41</v>
      </c>
      <c r="E135" s="4">
        <f>D129-E133-E134+D130</f>
        <v>24118</v>
      </c>
    </row>
    <row r="137" spans="3:7" x14ac:dyDescent="0.2">
      <c r="G137" s="1" t="s">
        <v>42</v>
      </c>
    </row>
    <row r="178" spans="2:5" x14ac:dyDescent="0.2">
      <c r="B178" s="1" t="s">
        <v>43</v>
      </c>
    </row>
    <row r="179" spans="2:5" x14ac:dyDescent="0.2">
      <c r="E179" s="1" t="s">
        <v>44</v>
      </c>
    </row>
    <row r="181" spans="2:5" x14ac:dyDescent="0.2">
      <c r="D181" s="4" t="s">
        <v>50</v>
      </c>
    </row>
    <row r="183" spans="2:5" x14ac:dyDescent="0.2">
      <c r="D183" s="1" t="s">
        <v>45</v>
      </c>
    </row>
    <row r="184" spans="2:5" x14ac:dyDescent="0.2">
      <c r="E184" s="4" t="s">
        <v>47</v>
      </c>
    </row>
    <row r="185" spans="2:5" x14ac:dyDescent="0.2">
      <c r="D185" s="1" t="s">
        <v>46</v>
      </c>
      <c r="E185" s="4">
        <f>12206/(127617+2793)</f>
        <v>9.3597116785522586E-2</v>
      </c>
    </row>
    <row r="186" spans="2:5" x14ac:dyDescent="0.2">
      <c r="D186" s="1" t="s">
        <v>48</v>
      </c>
      <c r="E186" s="4">
        <f>(23659+5000+14237+2000)/15410</f>
        <v>2.9134328358208954</v>
      </c>
    </row>
    <row r="187" spans="2:5" x14ac:dyDescent="0.2">
      <c r="D187" s="1" t="s">
        <v>49</v>
      </c>
      <c r="E187" s="4">
        <f>147663/(147663+61060)*100</f>
        <v>70.745916837147803</v>
      </c>
    </row>
    <row r="188" spans="2:5" x14ac:dyDescent="0.2">
      <c r="E188" s="1">
        <f>23659/(13+110025)*365</f>
        <v>78.477753139824415</v>
      </c>
    </row>
    <row r="203" spans="4:5" x14ac:dyDescent="0.2">
      <c r="D203" s="1" t="s">
        <v>52</v>
      </c>
    </row>
    <row r="204" spans="4:5" x14ac:dyDescent="0.2">
      <c r="D204" s="1" t="s">
        <v>53</v>
      </c>
    </row>
    <row r="205" spans="4:5" x14ac:dyDescent="0.2">
      <c r="D205" s="4" t="s">
        <v>51</v>
      </c>
      <c r="E205" s="2">
        <f>5544/(123312-43181-421)*100</f>
        <v>6.9552126458411747</v>
      </c>
    </row>
    <row r="206" spans="4:5" x14ac:dyDescent="0.2">
      <c r="E206" s="1" t="s">
        <v>55</v>
      </c>
    </row>
    <row r="207" spans="4:5" x14ac:dyDescent="0.2">
      <c r="D207" s="1" t="s">
        <v>54</v>
      </c>
      <c r="E207" s="4">
        <f>360/50</f>
        <v>7.2</v>
      </c>
    </row>
    <row r="208" spans="4:5" x14ac:dyDescent="0.2">
      <c r="E208" s="1" t="s">
        <v>57</v>
      </c>
    </row>
    <row r="209" spans="4:5" x14ac:dyDescent="0.2">
      <c r="D209" s="1" t="s">
        <v>56</v>
      </c>
      <c r="E209" s="1">
        <f>(6302+421)/123312*100</f>
        <v>5.452024133904243</v>
      </c>
    </row>
    <row r="212" spans="4:5" x14ac:dyDescent="0.2">
      <c r="D212" s="1" t="s">
        <v>49</v>
      </c>
      <c r="E212" s="4">
        <f>(123312-43181-421)/123312</f>
        <v>0.64640910860256906</v>
      </c>
    </row>
    <row r="248" spans="2:5" x14ac:dyDescent="0.2">
      <c r="C248" s="1" t="s">
        <v>58</v>
      </c>
    </row>
    <row r="249" spans="2:5" x14ac:dyDescent="0.2">
      <c r="C249" s="4">
        <f>1980000/580000</f>
        <v>3.4137931034482758</v>
      </c>
    </row>
    <row r="250" spans="2:5" x14ac:dyDescent="0.2">
      <c r="B250" s="9"/>
      <c r="C250" s="9" t="s">
        <v>60</v>
      </c>
      <c r="D250" s="9"/>
    </row>
    <row r="251" spans="2:5" x14ac:dyDescent="0.2">
      <c r="B251" s="9"/>
      <c r="C251" s="9" t="s">
        <v>59</v>
      </c>
      <c r="D251" s="9">
        <f>(2569000+113531)-2085000</f>
        <v>597531</v>
      </c>
      <c r="E251" s="8">
        <f>D251/D252</f>
        <v>6.8445704467353957E-2</v>
      </c>
    </row>
    <row r="252" spans="2:5" x14ac:dyDescent="0.2">
      <c r="B252" s="12" t="s">
        <v>61</v>
      </c>
      <c r="C252" s="12"/>
      <c r="D252" s="9">
        <f>5450000+3280000</f>
        <v>8730000</v>
      </c>
    </row>
    <row r="254" spans="2:5" x14ac:dyDescent="0.2">
      <c r="C254" s="1" t="s">
        <v>62</v>
      </c>
    </row>
    <row r="255" spans="2:5" x14ac:dyDescent="0.2">
      <c r="C255" s="4">
        <f>950000/2230000</f>
        <v>0.42600896860986548</v>
      </c>
    </row>
    <row r="257" spans="3:4" x14ac:dyDescent="0.2">
      <c r="C257" s="1" t="s">
        <v>49</v>
      </c>
      <c r="D257" s="4">
        <f>5450000/(5450000+3290000)</f>
        <v>0.6235697940503433</v>
      </c>
    </row>
    <row r="277" spans="4:4" x14ac:dyDescent="0.2">
      <c r="D277" s="1" t="s">
        <v>63</v>
      </c>
    </row>
    <row r="278" spans="4:4" x14ac:dyDescent="0.2">
      <c r="D278" s="4">
        <f>(25+4506)/7214</f>
        <v>0.62808428056556698</v>
      </c>
    </row>
    <row r="280" spans="4:4" x14ac:dyDescent="0.2">
      <c r="D280" s="1" t="s">
        <v>64</v>
      </c>
    </row>
    <row r="281" spans="4:4" x14ac:dyDescent="0.2">
      <c r="D281" s="4">
        <f>(4506+7615+25)/7214</f>
        <v>1.6836706404214028</v>
      </c>
    </row>
    <row r="283" spans="4:4" x14ac:dyDescent="0.2">
      <c r="D283" s="1" t="s">
        <v>65</v>
      </c>
    </row>
    <row r="284" spans="4:4" x14ac:dyDescent="0.2">
      <c r="D284" s="4">
        <f>(4506+7615+25+8716)/7214</f>
        <v>2.8918769060160798</v>
      </c>
    </row>
    <row r="304" spans="3:4" x14ac:dyDescent="0.2">
      <c r="C304" s="1" t="s">
        <v>66</v>
      </c>
      <c r="D304" s="1">
        <v>0.08</v>
      </c>
    </row>
    <row r="305" spans="3:5" x14ac:dyDescent="0.2">
      <c r="C305" s="1" t="s">
        <v>67</v>
      </c>
      <c r="D305" s="1">
        <v>5000000</v>
      </c>
    </row>
    <row r="308" spans="3:5" x14ac:dyDescent="0.2">
      <c r="C308" s="1" t="s">
        <v>68</v>
      </c>
      <c r="D308" s="1">
        <v>1500000</v>
      </c>
      <c r="E308" s="4">
        <f>D308/D309</f>
        <v>1388888.8888888888</v>
      </c>
    </row>
    <row r="309" spans="3:5" x14ac:dyDescent="0.2">
      <c r="D309" s="1">
        <f>1+D304</f>
        <v>1.08</v>
      </c>
    </row>
    <row r="311" spans="3:5" x14ac:dyDescent="0.2">
      <c r="C311" s="1" t="s">
        <v>69</v>
      </c>
      <c r="D311" s="1">
        <v>1300000</v>
      </c>
      <c r="E311" s="4">
        <f>D311/D312</f>
        <v>1114540.4663923183</v>
      </c>
    </row>
    <row r="312" spans="3:5" x14ac:dyDescent="0.2">
      <c r="D312" s="8">
        <f>(D309)^2</f>
        <v>1.1664000000000001</v>
      </c>
    </row>
    <row r="314" spans="3:5" x14ac:dyDescent="0.2">
      <c r="C314" s="1" t="s">
        <v>70</v>
      </c>
      <c r="D314" s="1">
        <v>1600000</v>
      </c>
      <c r="E314" s="4">
        <f>D314/D315</f>
        <v>1270131.5856322714</v>
      </c>
    </row>
    <row r="315" spans="3:5" x14ac:dyDescent="0.2">
      <c r="D315" s="1">
        <f>(D309)^3</f>
        <v>1.2597120000000002</v>
      </c>
    </row>
    <row r="317" spans="3:5" x14ac:dyDescent="0.2">
      <c r="C317" s="1" t="s">
        <v>71</v>
      </c>
      <c r="D317" s="1">
        <v>1800000</v>
      </c>
      <c r="E317" s="4">
        <f>D317/D318</f>
        <v>1323053.735033616</v>
      </c>
    </row>
    <row r="318" spans="3:5" x14ac:dyDescent="0.2">
      <c r="D318" s="1">
        <f>(D309)^4</f>
        <v>1.3604889600000003</v>
      </c>
    </row>
    <row r="320" spans="3:5" x14ac:dyDescent="0.2">
      <c r="C320" s="1" t="s">
        <v>72</v>
      </c>
      <c r="D320" s="1">
        <v>2000000</v>
      </c>
      <c r="E320" s="1">
        <f>D320/D321</f>
        <v>1361166.3940675061</v>
      </c>
    </row>
    <row r="321" spans="3:4" x14ac:dyDescent="0.2">
      <c r="D321" s="1">
        <f>(D309)^5</f>
        <v>1.4693280768000003</v>
      </c>
    </row>
    <row r="322" spans="3:4" x14ac:dyDescent="0.2">
      <c r="C322" s="1" t="s">
        <v>74</v>
      </c>
    </row>
    <row r="323" spans="3:4" x14ac:dyDescent="0.2">
      <c r="C323" s="1" t="s">
        <v>73</v>
      </c>
      <c r="D323" s="4">
        <f>E308+E311+E314+E317+E320-D305</f>
        <v>1457781.0700146006</v>
      </c>
    </row>
    <row r="334" spans="3:4" x14ac:dyDescent="0.2">
      <c r="C334" s="1" t="s">
        <v>19</v>
      </c>
      <c r="D334" s="1">
        <v>5000</v>
      </c>
    </row>
    <row r="335" spans="3:4" x14ac:dyDescent="0.2">
      <c r="D335" s="1">
        <v>0.08</v>
      </c>
    </row>
    <row r="363" spans="3:5" x14ac:dyDescent="0.2">
      <c r="C363" s="1">
        <v>3000000</v>
      </c>
    </row>
    <row r="364" spans="3:5" x14ac:dyDescent="0.2">
      <c r="C364" s="1">
        <v>0.12</v>
      </c>
    </row>
    <row r="367" spans="3:5" x14ac:dyDescent="0.2">
      <c r="C367" s="1" t="s">
        <v>3</v>
      </c>
      <c r="D367" s="1">
        <v>500000</v>
      </c>
      <c r="E367" s="1">
        <f>D367/D368</f>
        <v>446428.57142857136</v>
      </c>
    </row>
    <row r="368" spans="3:5" x14ac:dyDescent="0.2">
      <c r="D368" s="1">
        <f>1+C364</f>
        <v>1.1200000000000001</v>
      </c>
    </row>
    <row r="370" spans="3:5" x14ac:dyDescent="0.2">
      <c r="C370" s="1" t="s">
        <v>69</v>
      </c>
      <c r="D370" s="1">
        <v>1000000</v>
      </c>
      <c r="E370" s="1">
        <f>D370/D371</f>
        <v>797193.87755102024</v>
      </c>
    </row>
    <row r="371" spans="3:5" x14ac:dyDescent="0.2">
      <c r="D371" s="1">
        <f>(D368)^2</f>
        <v>1.2544000000000002</v>
      </c>
    </row>
    <row r="373" spans="3:5" x14ac:dyDescent="0.2">
      <c r="C373" s="1" t="s">
        <v>75</v>
      </c>
      <c r="D373" s="1">
        <v>1500000</v>
      </c>
      <c r="E373" s="1">
        <f>D373/D374</f>
        <v>1067670.3717201164</v>
      </c>
    </row>
    <row r="374" spans="3:5" x14ac:dyDescent="0.2">
      <c r="D374" s="1">
        <f>(D368)^3</f>
        <v>1.4049280000000004</v>
      </c>
    </row>
    <row r="376" spans="3:5" x14ac:dyDescent="0.2">
      <c r="C376" s="1" t="s">
        <v>71</v>
      </c>
      <c r="D376" s="1">
        <v>1000000</v>
      </c>
      <c r="E376" s="1">
        <f>D376/D377</f>
        <v>635518.07840483112</v>
      </c>
    </row>
    <row r="377" spans="3:5" x14ac:dyDescent="0.2">
      <c r="D377" s="1">
        <f>(D368)^4</f>
        <v>1.5735193600000004</v>
      </c>
    </row>
    <row r="379" spans="3:5" x14ac:dyDescent="0.2">
      <c r="C379" s="1" t="s">
        <v>76</v>
      </c>
      <c r="D379" s="4">
        <f>SUM(E367:E376)-C363</f>
        <v>-53189.100895461161</v>
      </c>
    </row>
    <row r="380" spans="3:5" x14ac:dyDescent="0.2">
      <c r="E380" s="1" t="s">
        <v>77</v>
      </c>
    </row>
    <row r="396" spans="2:3" x14ac:dyDescent="0.2">
      <c r="B396" s="1" t="s">
        <v>78</v>
      </c>
      <c r="C396" s="4">
        <f>1100000/((1000*500)+(600*400)+(2000*190))</f>
        <v>0.9821428571428571</v>
      </c>
    </row>
    <row r="397" spans="2:3" x14ac:dyDescent="0.2">
      <c r="B397" s="1" t="s">
        <v>79</v>
      </c>
      <c r="C397" s="4">
        <f>990000/((1000*500)+(600*400)+(2000*190))</f>
        <v>0.8839285714285714</v>
      </c>
    </row>
    <row r="399" spans="2:3" x14ac:dyDescent="0.2">
      <c r="B399" s="1" t="s">
        <v>80</v>
      </c>
      <c r="C399" s="1">
        <f>500*C396</f>
        <v>491.07142857142856</v>
      </c>
    </row>
    <row r="400" spans="2:3" x14ac:dyDescent="0.2">
      <c r="C400" s="1">
        <f>500*C397</f>
        <v>441.96428571428572</v>
      </c>
    </row>
    <row r="401" spans="3:3" x14ac:dyDescent="0.2">
      <c r="C401" s="4">
        <f>C399+C400+200+500</f>
        <v>1633.0357142857142</v>
      </c>
    </row>
    <row r="402" spans="3:3" x14ac:dyDescent="0.2">
      <c r="C402" s="1" t="s">
        <v>81</v>
      </c>
    </row>
    <row r="415" spans="3:3" x14ac:dyDescent="0.2">
      <c r="C415" s="1">
        <v>3000000</v>
      </c>
    </row>
    <row r="416" spans="3:3" x14ac:dyDescent="0.2">
      <c r="C416" s="1">
        <v>0.12</v>
      </c>
    </row>
    <row r="418" spans="3:5" x14ac:dyDescent="0.2">
      <c r="C418" s="1" t="s">
        <v>3</v>
      </c>
      <c r="D418" s="1">
        <v>2500000</v>
      </c>
      <c r="E418" s="4">
        <f>D418/D419</f>
        <v>2232142.8571428568</v>
      </c>
    </row>
    <row r="419" spans="3:5" x14ac:dyDescent="0.2">
      <c r="D419" s="1">
        <f>C416+1</f>
        <v>1.1200000000000001</v>
      </c>
    </row>
    <row r="421" spans="3:5" x14ac:dyDescent="0.2">
      <c r="C421" s="1" t="s">
        <v>4</v>
      </c>
      <c r="D421" s="1">
        <v>1600000</v>
      </c>
      <c r="E421" s="1">
        <f>D421/D422</f>
        <v>1275510.2040816324</v>
      </c>
    </row>
    <row r="422" spans="3:5" x14ac:dyDescent="0.2">
      <c r="D422" s="1">
        <f>(D419)^2</f>
        <v>1.2544000000000002</v>
      </c>
    </row>
    <row r="424" spans="3:5" x14ac:dyDescent="0.2">
      <c r="C424" s="1" t="s">
        <v>75</v>
      </c>
      <c r="D424" s="1">
        <v>1700000</v>
      </c>
      <c r="E424" s="1">
        <f>D424/D425</f>
        <v>1210026.4212827985</v>
      </c>
    </row>
    <row r="425" spans="3:5" x14ac:dyDescent="0.2">
      <c r="D425" s="1">
        <f>(D419)^3</f>
        <v>1.4049280000000004</v>
      </c>
    </row>
    <row r="427" spans="3:5" x14ac:dyDescent="0.2">
      <c r="C427" s="1" t="s">
        <v>82</v>
      </c>
      <c r="D427" s="1">
        <v>1800000</v>
      </c>
      <c r="E427" s="1">
        <f>D427/D428</f>
        <v>1143932.5411286962</v>
      </c>
    </row>
    <row r="428" spans="3:5" x14ac:dyDescent="0.2">
      <c r="D428" s="1">
        <f>(D419)^4</f>
        <v>1.5735193600000004</v>
      </c>
    </row>
    <row r="430" spans="3:5" x14ac:dyDescent="0.2">
      <c r="C430" s="1" t="s">
        <v>76</v>
      </c>
      <c r="D430" s="4">
        <f>SUM(E418:E427)-C415</f>
        <v>2861612.0236359844</v>
      </c>
    </row>
    <row r="452" spans="3:11" x14ac:dyDescent="0.2">
      <c r="K452"/>
    </row>
    <row r="453" spans="3:11" x14ac:dyDescent="0.2">
      <c r="C453" s="4" t="s">
        <v>83</v>
      </c>
    </row>
    <row r="454" spans="3:11" x14ac:dyDescent="0.2">
      <c r="C454" s="10"/>
    </row>
    <row r="455" spans="3:11" x14ac:dyDescent="0.2">
      <c r="C455" s="1">
        <f>(1650000*360)/1325000</f>
        <v>448.30188679245282</v>
      </c>
    </row>
    <row r="456" spans="3:11" x14ac:dyDescent="0.2">
      <c r="D456" s="1" t="s">
        <v>85</v>
      </c>
    </row>
    <row r="457" spans="3:11" x14ac:dyDescent="0.2">
      <c r="C457" s="1" t="s">
        <v>84</v>
      </c>
      <c r="D457" s="4">
        <f xml:space="preserve"> (1325000-1250000)/1325000</f>
        <v>5.6603773584905662E-2</v>
      </c>
    </row>
    <row r="458" spans="3:11" x14ac:dyDescent="0.2">
      <c r="H458" s="4" t="s">
        <v>87</v>
      </c>
    </row>
    <row r="459" spans="3:11" x14ac:dyDescent="0.2">
      <c r="D459" s="1" t="s">
        <v>48</v>
      </c>
      <c r="E459" s="4">
        <f>(1250000+1625000+H459)/1722000</f>
        <v>1.637630662020906</v>
      </c>
      <c r="G459" s="1" t="s">
        <v>86</v>
      </c>
      <c r="H459" s="4">
        <f>4567000-(1650000+1250000+1722000)</f>
        <v>-55000</v>
      </c>
    </row>
    <row r="475" spans="2:5" x14ac:dyDescent="0.2">
      <c r="B475" s="1">
        <v>210000</v>
      </c>
    </row>
    <row r="476" spans="2:5" x14ac:dyDescent="0.2">
      <c r="D476" s="1">
        <v>20</v>
      </c>
      <c r="E476" s="1">
        <v>5000</v>
      </c>
    </row>
    <row r="477" spans="2:5" x14ac:dyDescent="0.2">
      <c r="D477" s="1">
        <v>30</v>
      </c>
      <c r="E477" s="1">
        <v>10000</v>
      </c>
    </row>
    <row r="478" spans="2:5" x14ac:dyDescent="0.2">
      <c r="C478" s="1" t="s">
        <v>88</v>
      </c>
      <c r="D478" s="1">
        <v>40</v>
      </c>
      <c r="E478" s="1">
        <v>15000</v>
      </c>
    </row>
    <row r="480" spans="2:5" x14ac:dyDescent="0.2">
      <c r="D480" s="1">
        <f>B475/((D476*E476)+(D477*E477)+(D478*E478))</f>
        <v>0.21</v>
      </c>
    </row>
    <row r="481" spans="3:4" x14ac:dyDescent="0.2">
      <c r="C481" s="1" t="s">
        <v>89</v>
      </c>
      <c r="D481" s="4">
        <f>D480*40</f>
        <v>8.4</v>
      </c>
    </row>
    <row r="503" spans="2:8" x14ac:dyDescent="0.2">
      <c r="B503" s="1" t="s">
        <v>30</v>
      </c>
      <c r="F503" s="1" t="s">
        <v>31</v>
      </c>
    </row>
    <row r="504" spans="2:8" x14ac:dyDescent="0.2">
      <c r="C504" s="1">
        <v>2000</v>
      </c>
      <c r="D504" s="1">
        <v>300</v>
      </c>
      <c r="G504" s="1">
        <v>1900</v>
      </c>
      <c r="H504" s="1">
        <v>200</v>
      </c>
    </row>
    <row r="505" spans="2:8" x14ac:dyDescent="0.2">
      <c r="C505" s="1">
        <v>2500</v>
      </c>
      <c r="D505" s="1">
        <v>500</v>
      </c>
      <c r="G505" s="1">
        <v>2400</v>
      </c>
      <c r="H505" s="1">
        <v>600</v>
      </c>
    </row>
    <row r="507" spans="2:8" x14ac:dyDescent="0.2">
      <c r="C507" s="4">
        <f>((D505-D504)/D504)/((C505-C504)/C504)</f>
        <v>2.6666666666666665</v>
      </c>
      <c r="D507" s="1" t="s">
        <v>35</v>
      </c>
      <c r="G507" s="4">
        <f>((H505-H504)/H504)/((G505-G504)/G504)</f>
        <v>7.6000000000000005</v>
      </c>
      <c r="H507" s="1" t="s">
        <v>35</v>
      </c>
    </row>
    <row r="526" spans="2:6" x14ac:dyDescent="0.2">
      <c r="B526" s="1" t="s">
        <v>90</v>
      </c>
      <c r="C526" s="4">
        <f>5850+1500+450+100</f>
        <v>7900</v>
      </c>
      <c r="E526" s="1" t="s">
        <v>91</v>
      </c>
      <c r="F526" s="4">
        <f>2000+3100+2500+300</f>
        <v>7900</v>
      </c>
    </row>
    <row r="535" spans="2:9" x14ac:dyDescent="0.2">
      <c r="B535" s="1">
        <v>1000000</v>
      </c>
    </row>
    <row r="536" spans="2:9" x14ac:dyDescent="0.2">
      <c r="B536" s="1">
        <v>0.1</v>
      </c>
    </row>
    <row r="538" spans="2:9" x14ac:dyDescent="0.2">
      <c r="C538" s="1" t="s">
        <v>92</v>
      </c>
      <c r="D538" s="1">
        <v>500000</v>
      </c>
      <c r="E538" s="1">
        <f>D538/D539</f>
        <v>454545.45454545453</v>
      </c>
      <c r="G538" s="13">
        <f>IRR(F539:F541)</f>
        <v>0.61803398874989468</v>
      </c>
      <c r="I538" s="2"/>
    </row>
    <row r="539" spans="2:9" x14ac:dyDescent="0.2">
      <c r="D539" s="1">
        <f>1+B536</f>
        <v>1.1000000000000001</v>
      </c>
      <c r="F539" s="1">
        <v>-500000</v>
      </c>
    </row>
    <row r="540" spans="2:9" x14ac:dyDescent="0.2">
      <c r="F540" s="1">
        <v>500000</v>
      </c>
      <c r="G540" s="2"/>
    </row>
    <row r="541" spans="2:9" x14ac:dyDescent="0.2">
      <c r="C541" s="1" t="s">
        <v>4</v>
      </c>
      <c r="D541" s="1">
        <v>500000</v>
      </c>
      <c r="E541" s="1">
        <f>D541/D542</f>
        <v>413223.1404958677</v>
      </c>
      <c r="F541" s="1">
        <v>500000</v>
      </c>
      <c r="G541" s="2"/>
      <c r="H541" s="15"/>
    </row>
    <row r="542" spans="2:9" x14ac:dyDescent="0.2">
      <c r="D542" s="1">
        <f>(D539)^2</f>
        <v>1.2100000000000002</v>
      </c>
      <c r="G542" s="2"/>
      <c r="H542" s="15"/>
    </row>
    <row r="543" spans="2:9" x14ac:dyDescent="0.2">
      <c r="G543" s="2"/>
      <c r="H543" s="15"/>
    </row>
    <row r="544" spans="2:9" x14ac:dyDescent="0.2">
      <c r="C544" s="1" t="s">
        <v>75</v>
      </c>
      <c r="D544" s="1">
        <v>500000</v>
      </c>
      <c r="E544" s="1">
        <f>D544/D545</f>
        <v>375657.40045078879</v>
      </c>
      <c r="H544" s="15"/>
    </row>
    <row r="545" spans="3:8" x14ac:dyDescent="0.2">
      <c r="D545" s="1">
        <f>($D$539)^3</f>
        <v>1.3310000000000004</v>
      </c>
      <c r="H545" s="15"/>
    </row>
    <row r="547" spans="3:8" x14ac:dyDescent="0.2">
      <c r="C547" s="1" t="s">
        <v>71</v>
      </c>
      <c r="D547" s="1">
        <v>500000</v>
      </c>
      <c r="E547" s="1">
        <f>D547/D548</f>
        <v>341506.72768253525</v>
      </c>
    </row>
    <row r="548" spans="3:8" x14ac:dyDescent="0.2">
      <c r="D548" s="1">
        <f>($D$539)^4</f>
        <v>1.4641000000000004</v>
      </c>
    </row>
    <row r="550" spans="3:8" x14ac:dyDescent="0.2">
      <c r="C550" s="1" t="s">
        <v>72</v>
      </c>
      <c r="D550" s="1">
        <v>500000</v>
      </c>
      <c r="E550" s="1">
        <f>D550/D551</f>
        <v>310460.66152957745</v>
      </c>
    </row>
    <row r="551" spans="3:8" x14ac:dyDescent="0.2">
      <c r="D551" s="1">
        <f>($D$539)^5</f>
        <v>1.6105100000000006</v>
      </c>
    </row>
    <row r="554" spans="3:8" x14ac:dyDescent="0.2">
      <c r="E554" s="4">
        <f>(E538+E541+E544+E547+E550)-B535</f>
        <v>895393.38470422383</v>
      </c>
    </row>
    <row r="561" spans="2:11" x14ac:dyDescent="0.2">
      <c r="K561" s="1" t="s">
        <v>95</v>
      </c>
    </row>
    <row r="564" spans="2:11" x14ac:dyDescent="0.2">
      <c r="K564" s="1">
        <v>300</v>
      </c>
    </row>
    <row r="566" spans="2:11" x14ac:dyDescent="0.2">
      <c r="K566" s="1">
        <f>K564+400</f>
        <v>700</v>
      </c>
    </row>
    <row r="568" spans="2:11" x14ac:dyDescent="0.2">
      <c r="K568" s="1">
        <f>K566+500</f>
        <v>1200</v>
      </c>
    </row>
    <row r="569" spans="2:11" x14ac:dyDescent="0.2">
      <c r="K569" s="1">
        <f>K568+100</f>
        <v>1300</v>
      </c>
    </row>
    <row r="572" spans="2:11" x14ac:dyDescent="0.2">
      <c r="B572" s="1" t="s">
        <v>93</v>
      </c>
      <c r="C572" s="11">
        <f>((300+400+500+100)/4)/1000</f>
        <v>0.32500000000000001</v>
      </c>
      <c r="H572" s="1" t="s">
        <v>96</v>
      </c>
    </row>
    <row r="574" spans="2:11" x14ac:dyDescent="0.2">
      <c r="D574" s="1">
        <f>2+300/500</f>
        <v>2.6</v>
      </c>
      <c r="E574" s="1" t="s">
        <v>97</v>
      </c>
    </row>
    <row r="575" spans="2:11" x14ac:dyDescent="0.2">
      <c r="B575" s="1" t="s">
        <v>94</v>
      </c>
    </row>
    <row r="579" spans="1:1" x14ac:dyDescent="0.2">
      <c r="A579" s="14"/>
    </row>
  </sheetData>
  <mergeCells count="1">
    <mergeCell ref="B252:C252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Tichý Richard (S-PEF)</dc:creator>
  <cp:lastModifiedBy>Richard Tichý</cp:lastModifiedBy>
  <dcterms:created xsi:type="dcterms:W3CDTF">2025-04-20T14:44:37Z</dcterms:created>
  <dcterms:modified xsi:type="dcterms:W3CDTF">2025-04-24T19:45:41Z</dcterms:modified>
</cp:coreProperties>
</file>